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xr:revisionPtr revIDLastSave="0" documentId="8_{1393A292-7596-4967-B975-CF808B82DC9B}" xr6:coauthVersionLast="47" xr6:coauthVersionMax="47" xr10:uidLastSave="{00000000-0000-0000-0000-000000000000}"/>
  <bookViews>
    <workbookView xWindow="28680" yWindow="-120" windowWidth="29040" windowHeight="15720" xr2:uid="{202122D7-6479-457A-AE41-4D0C11EF17D1}"/>
  </bookViews>
  <sheets>
    <sheet name="Residential" sheetId="13" r:id="rId1"/>
  </sheets>
  <definedNames>
    <definedName name="_xlnm.Print_Area" localSheetId="0">Residential!$B$2:$I$31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3" l="1"/>
  <c r="P24" i="13"/>
  <c r="P25" i="13"/>
  <c r="Y31" i="13" l="1"/>
  <c r="B31" i="13"/>
  <c r="P23" i="13"/>
  <c r="P29" i="13"/>
  <c r="C27" i="13"/>
  <c r="D27" i="13"/>
  <c r="E27" i="13"/>
  <c r="F27" i="13"/>
  <c r="G27" i="13"/>
  <c r="H27" i="13"/>
  <c r="Y37" i="13"/>
  <c r="Y38" i="13" s="1"/>
  <c r="Y35" i="13"/>
  <c r="Y36" i="13" s="1"/>
  <c r="Y33" i="13"/>
  <c r="Y34" i="13" s="1"/>
  <c r="Y12" i="13" l="1"/>
  <c r="U23" i="13"/>
  <c r="Y20" i="13"/>
  <c r="AA20" i="13" s="1"/>
  <c r="P34" i="13"/>
  <c r="Y17" i="13"/>
  <c r="Y13" i="13"/>
  <c r="Y21" i="13"/>
  <c r="Y32" i="13"/>
  <c r="Y19" i="13"/>
  <c r="Y15" i="13"/>
  <c r="AA15" i="13" l="1"/>
  <c r="AA13" i="13"/>
  <c r="AA12" i="13"/>
  <c r="AB12" i="13" s="1"/>
  <c r="AA19" i="13"/>
  <c r="AA21" i="13"/>
  <c r="AA17" i="13"/>
  <c r="AB17" i="13" s="1"/>
  <c r="AB20" i="13"/>
  <c r="P28" i="13" l="1"/>
  <c r="P30" i="13" s="1"/>
  <c r="C29" i="13" s="1"/>
  <c r="AC17" i="13"/>
  <c r="AB21" i="13"/>
  <c r="AB13" i="13"/>
  <c r="AB19" i="13"/>
  <c r="AB15" i="13"/>
  <c r="AC12" i="13"/>
  <c r="AD12" i="13" s="1"/>
  <c r="AC20" i="13"/>
  <c r="C28" i="13" l="1"/>
  <c r="Q28" i="13"/>
  <c r="D28" i="13" s="1"/>
  <c r="Q29" i="13"/>
  <c r="P32" i="13"/>
  <c r="C30" i="13" s="1"/>
  <c r="AC19" i="13"/>
  <c r="AD19" i="13" s="1"/>
  <c r="AE19" i="13" s="1"/>
  <c r="AD17" i="13"/>
  <c r="AC21" i="13"/>
  <c r="AD21" i="13" s="1"/>
  <c r="AE12" i="13"/>
  <c r="AF12" i="13" s="1"/>
  <c r="AC13" i="13"/>
  <c r="AD13" i="13" s="1"/>
  <c r="AD20" i="13"/>
  <c r="AC15" i="13"/>
  <c r="Q30" i="13" l="1"/>
  <c r="D29" i="13" s="1"/>
  <c r="AE20" i="13"/>
  <c r="AF20" i="13" s="1"/>
  <c r="AD15" i="13"/>
  <c r="AE15" i="13" s="1"/>
  <c r="AF15" i="13" s="1"/>
  <c r="AE13" i="13"/>
  <c r="AF19" i="13"/>
  <c r="R28" i="13"/>
  <c r="E28" i="13" s="1"/>
  <c r="AE21" i="13"/>
  <c r="AF21" i="13" s="1"/>
  <c r="AE17" i="13"/>
  <c r="AF17" i="13" s="1"/>
  <c r="T28" i="13" l="1"/>
  <c r="G28" i="13" s="1"/>
  <c r="AF13" i="13"/>
  <c r="U28" i="13" s="1"/>
  <c r="H28" i="13" s="1"/>
  <c r="Q32" i="13"/>
  <c r="D30" i="13" s="1"/>
  <c r="R29" i="13"/>
  <c r="R30" i="13" s="1"/>
  <c r="E29" i="13" s="1"/>
  <c r="S28" i="13"/>
  <c r="F28" i="13" s="1"/>
  <c r="S29" i="13" l="1"/>
  <c r="S30" i="13" s="1"/>
  <c r="F29" i="13" s="1"/>
  <c r="R32" i="13"/>
  <c r="E30" i="13" s="1"/>
  <c r="T29" i="13" l="1"/>
  <c r="T30" i="13" s="1"/>
  <c r="G29" i="13" s="1"/>
  <c r="S32" i="13"/>
  <c r="F30" i="13" s="1"/>
  <c r="U29" i="13" l="1"/>
  <c r="U30" i="13" s="1"/>
  <c r="T32" i="13"/>
  <c r="G30" i="13" s="1"/>
  <c r="U32" i="13" l="1"/>
  <c r="H30" i="13" s="1"/>
  <c r="H29" i="13"/>
  <c r="P33" i="13" l="1"/>
  <c r="P35" i="13" l="1"/>
  <c r="C31" i="13"/>
  <c r="C16" i="13" s="1"/>
</calcChain>
</file>

<file path=xl/sharedStrings.xml><?xml version="1.0" encoding="utf-8"?>
<sst xmlns="http://schemas.openxmlformats.org/spreadsheetml/2006/main" count="129" uniqueCount="105">
  <si>
    <t>Residential Rates</t>
  </si>
  <si>
    <t>Base Rate + Usage Rate</t>
  </si>
  <si>
    <t>Base Rate =</t>
  </si>
  <si>
    <t xml:space="preserve">Usage Rate = 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</si>
  <si>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</si>
  <si>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</si>
  <si>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</si>
  <si>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</si>
  <si>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</si>
  <si>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</si>
  <si>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</si>
  <si>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</si>
  <si>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</si>
  <si>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</si>
  <si>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</si>
  <si>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Acre Feet to Gallon Conversion</t>
  </si>
  <si>
    <t>Estimated Application Rates (Metered System) - Acre Feet per Irr. Acre. Per Year</t>
  </si>
  <si>
    <t>Residential % Irrigable</t>
  </si>
  <si>
    <t>Commercial % Irrigable</t>
  </si>
  <si>
    <t>Churches % Irrigable</t>
  </si>
  <si>
    <t>Schools % Irrigable</t>
  </si>
  <si>
    <t>Per 1000 Gal</t>
  </si>
  <si>
    <t>COMMERCIAL</t>
  </si>
  <si>
    <t>CHURCHES</t>
  </si>
  <si>
    <t>SCHOOLS</t>
  </si>
  <si>
    <t>Tier 1</t>
  </si>
  <si>
    <t>Tier 2</t>
  </si>
  <si>
    <t>Tier 3</t>
  </si>
  <si>
    <t>Tier 4</t>
  </si>
  <si>
    <t>Tier 5</t>
  </si>
  <si>
    <t>Tier 6</t>
  </si>
  <si>
    <t>Enter Gallons</t>
  </si>
  <si>
    <t>Enter Lot Square Footage</t>
  </si>
  <si>
    <t> 2023</t>
  </si>
  <si>
    <t>Base Rate Increase</t>
  </si>
  <si>
    <t>NA</t>
  </si>
  <si>
    <t>Usage Rate Increase</t>
  </si>
  <si>
    <t>Shareholder Rate Increase</t>
  </si>
  <si>
    <t>Base Rate</t>
  </si>
  <si>
    <t>Base Rate (per Acre)</t>
  </si>
  <si>
    <t>Usage Rate</t>
  </si>
  <si>
    <t>Enter Month # (eg - 5 for May)</t>
  </si>
  <si>
    <t>Tiered Costs (depends on monthly allocation)</t>
  </si>
  <si>
    <t>What Rates &amp; Gallon Allocation?</t>
  </si>
  <si>
    <t>How many gallons per Tier?</t>
  </si>
  <si>
    <t>Cost per tier</t>
  </si>
  <si>
    <t>Total Monthly Bill (Base + Usage)</t>
  </si>
  <si>
    <t>Total Usage Charge (Total Tiers)</t>
  </si>
  <si>
    <t>RESIDENTIAL (118,175 gallons per 1 acre lot)</t>
  </si>
  <si>
    <t xml:space="preserve">varies from April to October based on historical city-wide data.  Example: April allows 34% of </t>
  </si>
  <si>
    <t>Tiered Values - Changes based on Lot Square Footage</t>
  </si>
  <si>
    <t>Monthly Allocation based on historical data</t>
  </si>
  <si>
    <t>Calculted Cell</t>
  </si>
  <si>
    <t>Legend</t>
  </si>
  <si>
    <r>
      <t xml:space="preserve">Usage rate is based off </t>
    </r>
    <r>
      <rPr>
        <sz val="11"/>
        <color rgb="FFFF0000"/>
        <rFont val="Calibri"/>
        <family val="2"/>
        <scheme val="minor"/>
      </rPr>
      <t>118,175</t>
    </r>
    <r>
      <rPr>
        <sz val="11"/>
        <color theme="1"/>
        <rFont val="Calibri"/>
        <family val="2"/>
        <scheme val="minor"/>
      </rPr>
      <t xml:space="preserve"> gallons being allowed for a 1 acre lot.  This is 100% allowance, which</t>
    </r>
  </si>
  <si>
    <r>
      <rPr>
        <sz val="11"/>
        <color rgb="FFFF0000"/>
        <rFont val="Calibri"/>
        <family val="2"/>
        <scheme val="minor"/>
      </rPr>
      <t>118,175</t>
    </r>
    <r>
      <rPr>
        <sz val="11"/>
        <color theme="1"/>
        <rFont val="Calibri"/>
        <family val="2"/>
        <scheme val="minor"/>
      </rPr>
      <t xml:space="preserve"> gallons for a 1 acre sized lot, which is </t>
    </r>
    <r>
      <rPr>
        <sz val="11"/>
        <color rgb="FFFF0000"/>
        <rFont val="Calibri"/>
        <family val="2"/>
        <scheme val="minor"/>
      </rPr>
      <t>40,000</t>
    </r>
    <r>
      <rPr>
        <sz val="11"/>
        <color theme="1"/>
        <rFont val="Calibri"/>
        <family val="2"/>
        <scheme val="minor"/>
      </rPr>
      <t xml:space="preserve"> gallons.  Enter 43560 in cell B15</t>
    </r>
  </si>
  <si>
    <r>
      <t>and you'll see cell K7 change to</t>
    </r>
    <r>
      <rPr>
        <sz val="11"/>
        <color rgb="FFFF0000"/>
        <rFont val="Calibri"/>
        <family val="2"/>
        <scheme val="minor"/>
      </rPr>
      <t xml:space="preserve"> 40,000</t>
    </r>
    <r>
      <rPr>
        <sz val="11"/>
        <color theme="1"/>
        <rFont val="Calibri"/>
        <family val="2"/>
        <scheme val="minor"/>
      </rPr>
      <t xml:space="preserve"> as well as the allowed usages per month change</t>
    </r>
  </si>
  <si>
    <t>per acre</t>
  </si>
  <si>
    <t>acres</t>
  </si>
  <si>
    <t>4, 100k - $118.14</t>
  </si>
  <si>
    <t>Gallons between tiers</t>
  </si>
  <si>
    <t xml:space="preserve">Base Rate </t>
  </si>
  <si>
    <t>Enter the month</t>
  </si>
  <si>
    <t>Enter gallons used</t>
  </si>
  <si>
    <t>For Residential Properties</t>
  </si>
  <si>
    <t>Enter property size</t>
  </si>
  <si>
    <t>Click here</t>
  </si>
  <si>
    <t>Utah County Parcel Map)</t>
  </si>
  <si>
    <t xml:space="preserve">     (Enter lot acreage.  You can find this information by clicking on</t>
  </si>
  <si>
    <t xml:space="preserve">      your lot on the </t>
  </si>
  <si>
    <t xml:space="preserve">     (Enter estimated gallons used)</t>
  </si>
  <si>
    <t>** Simply enter the 3 orange-shaded cells below; no other cells are editable **</t>
  </si>
  <si>
    <t xml:space="preserve"> This tool is intended to help Alpine residents estimate what their pressurized irrigation bill would be </t>
  </si>
  <si>
    <t xml:space="preserve"> your usage was historically, log in to the 'Eye On Water' app and check your historical usages.  </t>
  </si>
  <si>
    <t xml:space="preserve">     (Use the drop-down menu to pick a month)</t>
  </si>
  <si>
    <t>Gallons Used Per Tier</t>
  </si>
  <si>
    <t>Cost Per Tier</t>
  </si>
  <si>
    <t>Total Estimate Bill</t>
  </si>
  <si>
    <t xml:space="preserve">     (Base Rate + Usage Rate)</t>
  </si>
  <si>
    <t>Base Rate Calculation</t>
  </si>
  <si>
    <r>
      <t xml:space="preserve">The pressurized irrigation bill is made up of two parts; </t>
    </r>
    <r>
      <rPr>
        <u/>
        <sz val="11"/>
        <color theme="1"/>
        <rFont val="Calibri"/>
        <family val="2"/>
        <scheme val="minor"/>
      </rPr>
      <t>base rate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usage rate</t>
    </r>
    <r>
      <rPr>
        <sz val="11"/>
        <color theme="1"/>
        <rFont val="Calibri"/>
        <family val="2"/>
        <scheme val="minor"/>
      </rPr>
      <t>.  The base rate is a flat</t>
    </r>
  </si>
  <si>
    <t>Usage Rate Calculation</t>
  </si>
  <si>
    <t>Tier 1*</t>
  </si>
  <si>
    <t>Pressurized Irrigation Bill Calculations</t>
  </si>
  <si>
    <t xml:space="preserve">  by month throughout the watering season.</t>
  </si>
  <si>
    <t xml:space="preserve">*For the lowest possible bill, keep water usage within Tier 1.  "Gallons Allowed Per Tier" fluctuates </t>
  </si>
  <si>
    <t>Gallons Allowed 
Per Tier*</t>
  </si>
  <si>
    <t xml:space="preserve">fee charged on a monthly basis, all year long.  The usage rate is charged based on actual water meter </t>
  </si>
  <si>
    <t>usage data which is collected from April thru October.  Base and Usage rate calculations for your lot are:</t>
  </si>
  <si>
    <t xml:space="preserve"> for instructions to get an account and look up historical water usage.</t>
  </si>
  <si>
    <t>1. Update the base rate in cell P4</t>
  </si>
  <si>
    <t>2. Update base rate text in cell D23</t>
  </si>
  <si>
    <t>3. Update text in cell B27 to reflect current year</t>
  </si>
  <si>
    <t>4. Update rates for current year in cells P27 through U27, values (for 2024) can be found in cells AC32-37.  AD for 2024, AE, for 2026, AF for 2027</t>
  </si>
  <si>
    <t>0. Update year in cell C2</t>
  </si>
  <si>
    <t>Instructions to update yearly - If you see this, you figured out how to unprotect the worksheet</t>
  </si>
  <si>
    <t>00. Page Layout, show gridlines view and print, show headings view and print</t>
  </si>
  <si>
    <t>5. Hide all columns past K</t>
  </si>
  <si>
    <t>6. Page Layout - turn off Grid lines and Headings, both view and print</t>
  </si>
  <si>
    <t>7. Review Tab - Protect Worksheet - use passcode 1850</t>
  </si>
  <si>
    <t xml:space="preserve"> for the 2025 outdoor watering season based on the new rate structure with metered usage.  To find what </t>
  </si>
  <si>
    <t>($42.44/month/ac) x (lot acreage)</t>
  </si>
  <si>
    <t>2025 Tiered Costs</t>
  </si>
  <si>
    <t>PRESSURIZED IRRIGATION 
BILL ESTIMATOR 2025</t>
  </si>
  <si>
    <t>2025 Tiered Costs (per 1,000 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</si>
</sst>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_(* #,##0.000000000_);_(* \(#,##0.000000000\);_(* &quot;-&quot;??_);_(@_)"/>
    <numFmt numFmtId="169" formatCode="&quot;$&quot;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18"/>
      <name val="Arial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0"/>
      <color rgb="FF000000"/>
      <name val="Arial Narrow"/>
      <family val="2"/>
    </font>
    <font>
      <u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"/>
      <name val="Arial Narrow"/>
      <family val="2"/>
    </font>
    <font>
      <b/>
      <sz val="10"/>
      <color rgb="FFFA7D00"/>
      <name val="Calibri"/>
      <family val="2"/>
      <scheme val="minor"/>
    </font>
    <font>
      <b/>
      <sz val="9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.5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8D0C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0" tint="-0.499984740745262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rgb="FF7F7F7F"/>
      </right>
      <top style="medium">
        <color indexed="64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rgb="FF7F7F7F"/>
      </bottom>
      <diagonal/>
    </border>
    <border>
      <left style="medium">
        <color rgb="FF7F7F7F"/>
      </left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 style="medium">
        <color rgb="FF7F7F7F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indexed="64"/>
      </bottom>
      <diagonal/>
    </border>
    <border>
      <left style="medium">
        <color rgb="FF7F7F7F"/>
      </left>
      <right style="medium">
        <color indexed="64"/>
      </right>
      <top style="medium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7F7F7F"/>
      </left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 style="double">
        <color rgb="FF7F7F7F"/>
      </left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7F7F7F"/>
      </left>
      <right style="double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7F7F7F"/>
      </left>
      <right style="double">
        <color rgb="FF7F7F7F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7F7F7F"/>
      </left>
      <right style="medium">
        <color rgb="FF7F7F7F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3" fillId="7" borderId="2" applyNumberFormat="0" applyAlignment="0" applyProtection="0"/>
    <xf numFmtId="0" fontId="22" fillId="0" borderId="0" applyNumberFormat="0" applyFill="0" applyBorder="0" applyAlignment="0" applyProtection="0"/>
  </cellStyleXfs>
  <cellXfs count="149">
    <xf numFmtId="0" fontId="0" fillId="0" borderId="0" xfId="0"/>
    <xf numFmtId="164" fontId="16" fillId="7" borderId="23" xfId="6" applyNumberFormat="1" applyFont="1" applyBorder="1" applyAlignment="1" applyProtection="1">
      <alignment vertical="center"/>
    </xf>
    <xf numFmtId="9" fontId="4" fillId="0" borderId="0" xfId="3" applyFont="1" applyAlignment="1" applyProtection="1">
      <alignment horizontal="center" vertical="center"/>
    </xf>
    <xf numFmtId="164" fontId="17" fillId="7" borderId="21" xfId="6" applyNumberFormat="1" applyFont="1" applyBorder="1" applyAlignment="1" applyProtection="1">
      <alignment vertical="center"/>
    </xf>
    <xf numFmtId="164" fontId="17" fillId="7" borderId="2" xfId="6" applyNumberFormat="1" applyFont="1" applyAlignment="1" applyProtection="1">
      <alignment vertical="center"/>
    </xf>
    <xf numFmtId="164" fontId="17" fillId="7" borderId="22" xfId="6" applyNumberFormat="1" applyFont="1" applyBorder="1" applyAlignment="1" applyProtection="1">
      <alignment vertical="center"/>
    </xf>
    <xf numFmtId="43" fontId="4" fillId="0" borderId="6" xfId="1" applyFont="1" applyBorder="1" applyAlignment="1" applyProtection="1">
      <alignment vertical="center"/>
    </xf>
    <xf numFmtId="164" fontId="3" fillId="2" borderId="2" xfId="1" applyNumberFormat="1" applyFont="1" applyFill="1" applyBorder="1" applyProtection="1"/>
    <xf numFmtId="166" fontId="13" fillId="7" borderId="2" xfId="6" applyNumberFormat="1" applyProtection="1"/>
    <xf numFmtId="0" fontId="13" fillId="7" borderId="2" xfId="6" applyProtection="1"/>
    <xf numFmtId="43" fontId="4" fillId="0" borderId="16" xfId="1" applyFont="1" applyBorder="1" applyAlignment="1" applyProtection="1">
      <alignment vertical="center"/>
    </xf>
    <xf numFmtId="164" fontId="5" fillId="0" borderId="9" xfId="1" applyNumberFormat="1" applyFont="1" applyBorder="1" applyAlignment="1" applyProtection="1">
      <alignment vertical="center"/>
    </xf>
    <xf numFmtId="43" fontId="5" fillId="0" borderId="11" xfId="1" applyFont="1" applyBorder="1" applyAlignment="1" applyProtection="1">
      <alignment vertical="center"/>
    </xf>
    <xf numFmtId="9" fontId="5" fillId="0" borderId="11" xfId="3" applyFont="1" applyBorder="1" applyAlignment="1" applyProtection="1">
      <alignment vertical="center"/>
    </xf>
    <xf numFmtId="164" fontId="13" fillId="7" borderId="2" xfId="1" applyNumberFormat="1" applyFont="1" applyFill="1" applyBorder="1" applyProtection="1"/>
    <xf numFmtId="164" fontId="0" fillId="0" borderId="0" xfId="1" applyNumberFormat="1" applyFont="1" applyBorder="1" applyProtection="1"/>
    <xf numFmtId="9" fontId="5" fillId="0" borderId="11" xfId="1" applyNumberFormat="1" applyFont="1" applyBorder="1" applyAlignment="1" applyProtection="1">
      <alignment vertical="center"/>
    </xf>
    <xf numFmtId="164" fontId="5" fillId="0" borderId="11" xfId="3" applyNumberFormat="1" applyFont="1" applyBorder="1" applyAlignment="1" applyProtection="1">
      <alignment vertical="center"/>
    </xf>
    <xf numFmtId="8" fontId="13" fillId="7" borderId="2" xfId="6" applyNumberFormat="1" applyProtection="1"/>
    <xf numFmtId="8" fontId="13" fillId="7" borderId="20" xfId="6" applyNumberFormat="1" applyBorder="1" applyProtection="1"/>
    <xf numFmtId="8" fontId="18" fillId="7" borderId="19" xfId="6" applyNumberFormat="1" applyFont="1" applyBorder="1" applyProtection="1"/>
    <xf numFmtId="0" fontId="13" fillId="7" borderId="35" xfId="6" applyBorder="1" applyProtection="1"/>
    <xf numFmtId="43" fontId="4" fillId="0" borderId="4" xfId="1" applyFont="1" applyBorder="1" applyAlignment="1" applyProtection="1">
      <alignment vertical="center"/>
    </xf>
    <xf numFmtId="44" fontId="3" fillId="2" borderId="2" xfId="2" applyFont="1" applyFill="1" applyBorder="1" applyProtection="1"/>
    <xf numFmtId="9" fontId="4" fillId="0" borderId="8" xfId="3" applyFont="1" applyBorder="1" applyAlignment="1" applyProtection="1">
      <alignment vertical="center"/>
    </xf>
    <xf numFmtId="9" fontId="4" fillId="0" borderId="9" xfId="3" applyFont="1" applyBorder="1" applyAlignment="1" applyProtection="1">
      <alignment vertical="center"/>
    </xf>
    <xf numFmtId="44" fontId="3" fillId="2" borderId="0" xfId="2" applyFont="1" applyFill="1" applyBorder="1" applyProtection="1"/>
    <xf numFmtId="9" fontId="4" fillId="0" borderId="0" xfId="3" applyFont="1" applyBorder="1" applyAlignment="1" applyProtection="1">
      <alignment vertical="center"/>
    </xf>
    <xf numFmtId="9" fontId="4" fillId="0" borderId="11" xfId="3" applyFont="1" applyBorder="1" applyAlignment="1" applyProtection="1">
      <alignment vertical="center"/>
    </xf>
    <xf numFmtId="0" fontId="22" fillId="0" borderId="0" xfId="7" applyProtection="1"/>
    <xf numFmtId="0" fontId="20" fillId="0" borderId="0" xfId="0" applyFont="1" applyAlignment="1">
      <alignment horizontal="center" vertical="top" wrapText="1"/>
    </xf>
    <xf numFmtId="0" fontId="0" fillId="0" borderId="8" xfId="0" applyBorder="1"/>
    <xf numFmtId="0" fontId="0" fillId="0" borderId="34" xfId="0" applyBorder="1"/>
    <xf numFmtId="0" fontId="4" fillId="0" borderId="0" xfId="0" applyFont="1" applyAlignment="1">
      <alignment horizontal="center" vertical="center" wrapText="1"/>
    </xf>
    <xf numFmtId="0" fontId="0" fillId="0" borderId="10" xfId="0" applyBorder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Border="1"/>
    <xf numFmtId="0" fontId="4" fillId="0" borderId="5" xfId="0" applyFont="1" applyBorder="1" applyAlignment="1">
      <alignment vertical="center"/>
    </xf>
    <xf numFmtId="9" fontId="4" fillId="0" borderId="7" xfId="0" applyNumberFormat="1" applyFont="1" applyBorder="1" applyAlignment="1">
      <alignment vertical="center"/>
    </xf>
    <xf numFmtId="9" fontId="4" fillId="0" borderId="10" xfId="0" applyNumberFormat="1" applyFont="1" applyBorder="1" applyAlignment="1">
      <alignment vertical="center"/>
    </xf>
    <xf numFmtId="165" fontId="8" fillId="0" borderId="17" xfId="0" applyNumberFormat="1" applyFont="1" applyBorder="1" applyAlignment="1">
      <alignment horizontal="right" wrapText="1" indent="1" readingOrder="1"/>
    </xf>
    <xf numFmtId="0" fontId="5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wrapText="1" indent="1" readingOrder="1"/>
    </xf>
    <xf numFmtId="165" fontId="8" fillId="0" borderId="28" xfId="0" applyNumberFormat="1" applyFont="1" applyBorder="1" applyAlignment="1">
      <alignment horizontal="right" wrapText="1" indent="1" readingOrder="1"/>
    </xf>
    <xf numFmtId="0" fontId="5" fillId="3" borderId="10" xfId="0" applyFont="1" applyFill="1" applyBorder="1" applyAlignment="1">
      <alignment vertical="center"/>
    </xf>
    <xf numFmtId="164" fontId="0" fillId="0" borderId="0" xfId="0" applyNumberFormat="1"/>
    <xf numFmtId="0" fontId="8" fillId="0" borderId="31" xfId="0" applyFont="1" applyBorder="1" applyAlignment="1">
      <alignment horizontal="left" wrapText="1" indent="1" readingOrder="1"/>
    </xf>
    <xf numFmtId="165" fontId="8" fillId="0" borderId="32" xfId="0" applyNumberFormat="1" applyFont="1" applyBorder="1" applyAlignment="1">
      <alignment horizontal="right" wrapText="1" indent="1" readingOrder="1"/>
    </xf>
    <xf numFmtId="165" fontId="8" fillId="0" borderId="33" xfId="0" applyNumberFormat="1" applyFont="1" applyBorder="1" applyAlignment="1">
      <alignment horizontal="right" wrapText="1" indent="1" readingOrder="1"/>
    </xf>
    <xf numFmtId="0" fontId="5" fillId="0" borderId="12" xfId="0" applyFont="1" applyBorder="1" applyAlignment="1">
      <alignment vertical="center"/>
    </xf>
    <xf numFmtId="164" fontId="5" fillId="0" borderId="14" xfId="3" applyNumberFormat="1" applyFont="1" applyBorder="1" applyAlignment="1" applyProtection="1">
      <alignment vertical="center"/>
    </xf>
    <xf numFmtId="37" fontId="16" fillId="7" borderId="23" xfId="6" applyNumberFormat="1" applyFont="1" applyBorder="1" applyAlignment="1" applyProtection="1">
      <alignment vertical="center"/>
    </xf>
    <xf numFmtId="0" fontId="0" fillId="8" borderId="36" xfId="0" applyFill="1" applyBorder="1"/>
    <xf numFmtId="0" fontId="0" fillId="8" borderId="37" xfId="0" applyFill="1" applyBorder="1"/>
    <xf numFmtId="0" fontId="0" fillId="8" borderId="38" xfId="0" applyFill="1" applyBorder="1"/>
    <xf numFmtId="0" fontId="0" fillId="8" borderId="39" xfId="0" applyFill="1" applyBorder="1"/>
    <xf numFmtId="0" fontId="0" fillId="8" borderId="0" xfId="0" applyFill="1"/>
    <xf numFmtId="0" fontId="0" fillId="8" borderId="40" xfId="0" applyFill="1" applyBorder="1"/>
    <xf numFmtId="0" fontId="22" fillId="8" borderId="0" xfId="7" applyFill="1" applyBorder="1" applyProtection="1"/>
    <xf numFmtId="0" fontId="0" fillId="8" borderId="41" xfId="0" applyFill="1" applyBorder="1"/>
    <xf numFmtId="0" fontId="0" fillId="8" borderId="42" xfId="0" applyFill="1" applyBorder="1"/>
    <xf numFmtId="0" fontId="22" fillId="8" borderId="42" xfId="7" applyFill="1" applyBorder="1" applyProtection="1">
      <protection locked="0"/>
    </xf>
    <xf numFmtId="0" fontId="0" fillId="8" borderId="43" xfId="0" applyFill="1" applyBorder="1" applyAlignment="1">
      <alignment horizontal="left"/>
    </xf>
    <xf numFmtId="0" fontId="22" fillId="8" borderId="40" xfId="7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right" indent="1"/>
    </xf>
    <xf numFmtId="0" fontId="19" fillId="0" borderId="49" xfId="0" applyFont="1" applyBorder="1" applyAlignment="1">
      <alignment horizontal="right" vertical="center" indent="1"/>
    </xf>
    <xf numFmtId="0" fontId="22" fillId="0" borderId="0" xfId="7" applyAlignment="1" applyProtection="1">
      <alignment horizontal="left"/>
    </xf>
    <xf numFmtId="44" fontId="25" fillId="0" borderId="0" xfId="2" applyFont="1" applyFill="1" applyBorder="1" applyProtection="1"/>
    <xf numFmtId="0" fontId="24" fillId="0" borderId="0" xfId="0" applyFont="1"/>
    <xf numFmtId="0" fontId="12" fillId="0" borderId="10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7" xfId="0" applyBorder="1"/>
    <xf numFmtId="0" fontId="7" fillId="4" borderId="24" xfId="0" applyFont="1" applyFill="1" applyBorder="1" applyAlignment="1">
      <alignment horizontal="center" wrapText="1" readingOrder="1"/>
    </xf>
    <xf numFmtId="0" fontId="7" fillId="4" borderId="25" xfId="0" applyFont="1" applyFill="1" applyBorder="1" applyAlignment="1">
      <alignment horizontal="center" wrapText="1" readingOrder="1"/>
    </xf>
    <xf numFmtId="0" fontId="7" fillId="4" borderId="26" xfId="0" applyFont="1" applyFill="1" applyBorder="1" applyAlignment="1">
      <alignment horizontal="center" wrapText="1" readingOrder="1"/>
    </xf>
    <xf numFmtId="0" fontId="10" fillId="0" borderId="27" xfId="0" applyFont="1" applyBorder="1" applyAlignment="1">
      <alignment horizontal="left" wrapText="1" indent="1" readingOrder="1"/>
    </xf>
    <xf numFmtId="0" fontId="8" fillId="5" borderId="17" xfId="0" applyFont="1" applyFill="1" applyBorder="1" applyAlignment="1">
      <alignment horizontal="right" wrapText="1" indent="1" readingOrder="1"/>
    </xf>
    <xf numFmtId="9" fontId="8" fillId="5" borderId="17" xfId="0" applyNumberFormat="1" applyFont="1" applyFill="1" applyBorder="1" applyAlignment="1">
      <alignment horizontal="right" wrapText="1" indent="1" readingOrder="1"/>
    </xf>
    <xf numFmtId="9" fontId="8" fillId="5" borderId="28" xfId="0" applyNumberFormat="1" applyFont="1" applyFill="1" applyBorder="1" applyAlignment="1">
      <alignment horizontal="right" wrapText="1" indent="1" readingOrder="1"/>
    </xf>
    <xf numFmtId="0" fontId="7" fillId="6" borderId="29" xfId="0" applyFont="1" applyFill="1" applyBorder="1" applyAlignment="1">
      <alignment horizontal="left" wrapText="1" indent="1" readingOrder="1"/>
    </xf>
    <xf numFmtId="0" fontId="6" fillId="6" borderId="18" xfId="0" applyFont="1" applyFill="1" applyBorder="1" applyAlignment="1">
      <alignment horizontal="right" vertical="center" wrapText="1" indent="1"/>
    </xf>
    <xf numFmtId="0" fontId="6" fillId="6" borderId="30" xfId="0" applyFont="1" applyFill="1" applyBorder="1" applyAlignment="1">
      <alignment horizontal="right" vertical="center" wrapText="1" indent="1"/>
    </xf>
    <xf numFmtId="0" fontId="11" fillId="0" borderId="27" xfId="0" applyFont="1" applyBorder="1" applyAlignment="1">
      <alignment horizontal="left" wrapText="1" indent="1" readingOrder="1"/>
    </xf>
    <xf numFmtId="8" fontId="9" fillId="0" borderId="17" xfId="0" applyNumberFormat="1" applyFont="1" applyBorder="1" applyAlignment="1">
      <alignment horizontal="right" wrapText="1" indent="1" readingOrder="1"/>
    </xf>
    <xf numFmtId="8" fontId="9" fillId="0" borderId="28" xfId="0" applyNumberFormat="1" applyFont="1" applyBorder="1" applyAlignment="1">
      <alignment horizontal="right" wrapText="1" indent="1" readingOrder="1"/>
    </xf>
    <xf numFmtId="0" fontId="4" fillId="3" borderId="10" xfId="0" applyFont="1" applyFill="1" applyBorder="1" applyAlignment="1">
      <alignment vertical="center"/>
    </xf>
    <xf numFmtId="0" fontId="7" fillId="6" borderId="18" xfId="0" applyFont="1" applyFill="1" applyBorder="1" applyAlignment="1">
      <alignment horizontal="left" wrapText="1" indent="1" readingOrder="1"/>
    </xf>
    <xf numFmtId="0" fontId="7" fillId="6" borderId="30" xfId="0" applyFont="1" applyFill="1" applyBorder="1" applyAlignment="1">
      <alignment horizontal="left" wrapText="1" indent="1" readingOrder="1"/>
    </xf>
    <xf numFmtId="0" fontId="28" fillId="0" borderId="0" xfId="0" applyFont="1"/>
    <xf numFmtId="0" fontId="28" fillId="0" borderId="0" xfId="0" applyFont="1" applyAlignment="1">
      <alignment horizontal="left" indent="2"/>
    </xf>
    <xf numFmtId="0" fontId="25" fillId="0" borderId="0" xfId="0" applyFont="1" applyAlignment="1">
      <alignment horizontal="right" inden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9" borderId="36" xfId="0" applyFill="1" applyBorder="1"/>
    <xf numFmtId="0" fontId="0" fillId="9" borderId="37" xfId="0" applyFill="1" applyBorder="1"/>
    <xf numFmtId="0" fontId="0" fillId="9" borderId="38" xfId="0" applyFill="1" applyBorder="1"/>
    <xf numFmtId="0" fontId="0" fillId="9" borderId="39" xfId="0" applyFill="1" applyBorder="1"/>
    <xf numFmtId="0" fontId="0" fillId="9" borderId="0" xfId="0" applyFill="1"/>
    <xf numFmtId="0" fontId="0" fillId="9" borderId="40" xfId="0" applyFill="1" applyBorder="1"/>
    <xf numFmtId="0" fontId="29" fillId="9" borderId="39" xfId="0" applyFont="1" applyFill="1" applyBorder="1" applyAlignment="1">
      <alignment vertical="center"/>
    </xf>
    <xf numFmtId="8" fontId="30" fillId="9" borderId="0" xfId="6" applyNumberFormat="1" applyFont="1" applyFill="1" applyBorder="1" applyAlignment="1" applyProtection="1">
      <alignment horizontal="center" vertical="center"/>
    </xf>
    <xf numFmtId="0" fontId="0" fillId="9" borderId="0" xfId="0" applyFill="1" applyAlignment="1">
      <alignment vertical="center"/>
    </xf>
    <xf numFmtId="0" fontId="19" fillId="9" borderId="39" xfId="0" applyFont="1" applyFill="1" applyBorder="1"/>
    <xf numFmtId="0" fontId="29" fillId="9" borderId="41" xfId="0" applyFont="1" applyFill="1" applyBorder="1"/>
    <xf numFmtId="0" fontId="19" fillId="9" borderId="42" xfId="0" applyFont="1" applyFill="1" applyBorder="1" applyAlignment="1">
      <alignment horizontal="center" vertical="center"/>
    </xf>
    <xf numFmtId="0" fontId="0" fillId="9" borderId="47" xfId="0" applyFill="1" applyBorder="1" applyAlignment="1">
      <alignment horizontal="left" vertical="center" wrapText="1" indent="2"/>
    </xf>
    <xf numFmtId="3" fontId="0" fillId="9" borderId="47" xfId="0" applyNumberFormat="1" applyFill="1" applyBorder="1" applyAlignment="1">
      <alignment horizontal="center" vertical="center"/>
    </xf>
    <xf numFmtId="0" fontId="26" fillId="9" borderId="47" xfId="0" applyFont="1" applyFill="1" applyBorder="1" applyAlignment="1">
      <alignment horizontal="left" vertical="center" indent="2"/>
    </xf>
    <xf numFmtId="3" fontId="26" fillId="9" borderId="47" xfId="6" applyNumberFormat="1" applyFont="1" applyFill="1" applyBorder="1" applyAlignment="1" applyProtection="1">
      <alignment horizontal="center" vertical="center"/>
    </xf>
    <xf numFmtId="8" fontId="26" fillId="9" borderId="47" xfId="6" applyNumberFormat="1" applyFont="1" applyFill="1" applyBorder="1" applyAlignment="1" applyProtection="1">
      <alignment horizontal="center" vertical="center"/>
    </xf>
    <xf numFmtId="0" fontId="0" fillId="9" borderId="41" xfId="0" applyFill="1" applyBorder="1" applyAlignment="1">
      <alignment horizontal="left" vertical="center" wrapText="1" indent="2"/>
    </xf>
    <xf numFmtId="0" fontId="28" fillId="9" borderId="0" xfId="0" applyFont="1" applyFill="1"/>
    <xf numFmtId="0" fontId="28" fillId="9" borderId="42" xfId="0" applyFont="1" applyFill="1" applyBorder="1"/>
    <xf numFmtId="0" fontId="28" fillId="9" borderId="43" xfId="0" applyFont="1" applyFill="1" applyBorder="1"/>
    <xf numFmtId="0" fontId="19" fillId="0" borderId="0" xfId="0" applyFont="1"/>
    <xf numFmtId="0" fontId="28" fillId="9" borderId="40" xfId="0" applyFont="1" applyFill="1" applyBorder="1"/>
    <xf numFmtId="44" fontId="28" fillId="9" borderId="42" xfId="0" applyNumberFormat="1" applyFont="1" applyFill="1" applyBorder="1"/>
    <xf numFmtId="0" fontId="28" fillId="9" borderId="42" xfId="0" applyFont="1" applyFill="1" applyBorder="1" applyAlignment="1">
      <alignment horizontal="left" indent="2"/>
    </xf>
    <xf numFmtId="8" fontId="32" fillId="10" borderId="50" xfId="6" applyNumberFormat="1" applyFont="1" applyFill="1" applyBorder="1" applyAlignment="1" applyProtection="1">
      <alignment horizontal="center" vertical="center"/>
    </xf>
    <xf numFmtId="8" fontId="33" fillId="9" borderId="47" xfId="6" applyNumberFormat="1" applyFont="1" applyFill="1" applyBorder="1" applyAlignment="1" applyProtection="1">
      <alignment horizontal="center" vertical="center"/>
    </xf>
    <xf numFmtId="0" fontId="34" fillId="2" borderId="44" xfId="5" applyFont="1" applyBorder="1" applyAlignment="1" applyProtection="1">
      <alignment horizontal="center"/>
      <protection locked="0"/>
    </xf>
    <xf numFmtId="3" fontId="34" fillId="2" borderId="45" xfId="5" applyNumberFormat="1" applyFont="1" applyBorder="1" applyAlignment="1" applyProtection="1">
      <alignment horizontal="center"/>
      <protection locked="0"/>
    </xf>
    <xf numFmtId="0" fontId="35" fillId="9" borderId="39" xfId="0" applyFont="1" applyFill="1" applyBorder="1"/>
    <xf numFmtId="0" fontId="35" fillId="9" borderId="41" xfId="0" applyFont="1" applyFill="1" applyBorder="1"/>
    <xf numFmtId="0" fontId="22" fillId="8" borderId="42" xfId="7" applyFill="1" applyBorder="1" applyProtection="1"/>
    <xf numFmtId="0" fontId="0" fillId="8" borderId="43" xfId="0" applyFill="1" applyBorder="1"/>
    <xf numFmtId="0" fontId="0" fillId="0" borderId="9" xfId="0" applyBorder="1"/>
    <xf numFmtId="0" fontId="8" fillId="11" borderId="51" xfId="0" applyFont="1" applyFill="1" applyBorder="1" applyAlignment="1">
      <alignment horizontal="right" wrapText="1" indent="1" readingOrder="1"/>
    </xf>
    <xf numFmtId="0" fontId="2" fillId="0" borderId="7" xfId="4" applyBorder="1" applyAlignment="1" applyProtection="1"/>
    <xf numFmtId="0" fontId="2" fillId="0" borderId="8" xfId="4" applyBorder="1" applyAlignment="1" applyProtection="1"/>
    <xf numFmtId="0" fontId="2" fillId="0" borderId="0" xfId="4" applyBorder="1" applyAlignment="1" applyProtection="1"/>
    <xf numFmtId="0" fontId="2" fillId="0" borderId="7" xfId="4" applyBorder="1" applyAlignment="1" applyProtection="1">
      <alignment horizontal="center"/>
    </xf>
    <xf numFmtId="0" fontId="2" fillId="0" borderId="8" xfId="4" applyBorder="1" applyAlignment="1" applyProtection="1">
      <alignment horizontal="center"/>
    </xf>
    <xf numFmtId="0" fontId="19" fillId="0" borderId="0" xfId="0" applyFont="1" applyAlignment="1">
      <alignment horizontal="right" vertical="center" indent="1"/>
    </xf>
    <xf numFmtId="0" fontId="34" fillId="2" borderId="46" xfId="5" applyFont="1" applyBorder="1" applyAlignment="1" applyProtection="1">
      <alignment horizontal="center" vertical="center"/>
      <protection locked="0"/>
    </xf>
    <xf numFmtId="0" fontId="34" fillId="2" borderId="48" xfId="5" applyFont="1" applyBorder="1" applyAlignment="1" applyProtection="1">
      <alignment horizontal="center" vertical="center"/>
      <protection locked="0"/>
    </xf>
    <xf numFmtId="0" fontId="22" fillId="0" borderId="0" xfId="7" applyAlignment="1" applyProtection="1">
      <alignment horizontal="left"/>
      <protection locked="0"/>
    </xf>
    <xf numFmtId="0" fontId="23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9" fontId="0" fillId="9" borderId="47" xfId="2" applyNumberFormat="1" applyFont="1" applyFill="1" applyBorder="1" applyAlignment="1" applyProtection="1">
      <alignment horizontal="center" vertical="center"/>
    </xf>
  </cellXfs>
  <cellStyles count="8">
    <cellStyle name="Calculation" xfId="6" builtinId="22"/>
    <cellStyle name="Comma" xfId="1" builtinId="3"/>
    <cellStyle name="Currency" xfId="2" builtinId="4"/>
    <cellStyle name="Heading 1" xfId="4" builtinId="16"/>
    <cellStyle name="Hyperlink" xfId="7" builtinId="8"/>
    <cellStyle name="Input" xfId="5" builtinId="20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73767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1381125</xdr:colOff>
      <xdr:row>2</xdr:row>
      <xdr:rowOff>59471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E45FEE-ECE0-41D1-AE0C-27D890882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381125" cy="56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utahcounty.gov/ParcelMap/ParcelMap.html?" TargetMode="External"/><Relationship Id="rId2" Type="http://schemas.openxmlformats.org/officeDocument/2006/relationships/hyperlink" Target="https://www.alpinecity.org/DocumentCenter/View/412/Eye-on-Water---Install-and-Instructions-for-Historical-Usage" TargetMode="External"/><Relationship Id="rId1" Type="http://schemas.openxmlformats.org/officeDocument/2006/relationships/hyperlink" Target="https://maps.utahcounty.gov/ParcelMap/ParcelMa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51CD-DF44-4F32-85D3-2A4AD05E78FB}">
  <sheetPr>
    <pageSetUpPr fitToPage="1"/>
  </sheetPr>
  <dimension ref="B1:AG50"/>
  <sheetViews>
    <sheetView tabSelected="1" zoomScale="85" zoomScaleNormal="85" workbookViewId="0">
      <selection activeCell="C14" sqref="C14:C15"/>
    </sheetView>
  </sheetViews>
  <sheetFormatPr defaultRowHeight="15" x14ac:dyDescent="0.25"/>
  <cols>
    <col min="1" max="1" width="3.7109375" customWidth="1"/>
    <col min="2" max="2" width="22.28515625" customWidth="1"/>
    <col min="3" max="3" width="13.140625" customWidth="1"/>
    <col min="4" max="7" width="9" customWidth="1"/>
    <col min="8" max="8" width="14.85546875" customWidth="1"/>
    <col min="9" max="9" width="11.28515625" customWidth="1"/>
    <col min="10" max="10" width="9.140625" customWidth="1"/>
    <col min="11" max="14" width="9.140625" hidden="1" customWidth="1"/>
    <col min="15" max="15" width="35.85546875" hidden="1" customWidth="1"/>
    <col min="16" max="18" width="10.5703125" hidden="1" customWidth="1"/>
    <col min="19" max="19" width="13.140625" hidden="1" customWidth="1"/>
    <col min="20" max="20" width="10.5703125" hidden="1" customWidth="1"/>
    <col min="21" max="21" width="19" hidden="1" customWidth="1"/>
    <col min="22" max="22" width="15" hidden="1" customWidth="1"/>
    <col min="23" max="23" width="9.140625" hidden="1" customWidth="1"/>
    <col min="24" max="24" width="51.28515625" hidden="1" customWidth="1"/>
    <col min="25" max="25" width="11" hidden="1" customWidth="1"/>
    <col min="26" max="26" width="11.85546875" hidden="1" customWidth="1"/>
    <col min="27" max="31" width="10.7109375" hidden="1" customWidth="1"/>
    <col min="32" max="32" width="16.28515625" hidden="1" customWidth="1"/>
    <col min="33" max="33" width="9.140625" hidden="1" customWidth="1"/>
    <col min="34" max="34" width="9.140625" customWidth="1"/>
  </cols>
  <sheetData>
    <row r="1" spans="2:32" ht="12" customHeight="1" thickBot="1" x14ac:dyDescent="0.3"/>
    <row r="2" spans="2:32" ht="39.75" customHeight="1" thickBot="1" x14ac:dyDescent="0.35">
      <c r="C2" s="145" t="s">
        <v>103</v>
      </c>
      <c r="D2" s="145"/>
      <c r="E2" s="145"/>
      <c r="F2" s="145"/>
      <c r="G2" s="145"/>
      <c r="H2" s="30"/>
      <c r="I2" s="30"/>
      <c r="J2" s="30"/>
      <c r="K2" s="30"/>
      <c r="L2" s="30"/>
      <c r="M2" s="30"/>
      <c r="N2" s="30"/>
      <c r="O2" s="139" t="s">
        <v>0</v>
      </c>
      <c r="P2" s="140"/>
      <c r="Q2" s="31"/>
      <c r="R2" s="31"/>
      <c r="S2" s="31"/>
      <c r="T2" s="31"/>
      <c r="U2" s="31"/>
      <c r="V2" s="32" t="s">
        <v>53</v>
      </c>
      <c r="Z2" s="33" t="s">
        <v>51</v>
      </c>
    </row>
    <row r="3" spans="2:32" ht="17.25" customHeight="1" thickBot="1" x14ac:dyDescent="0.3">
      <c r="C3" s="146" t="s">
        <v>64</v>
      </c>
      <c r="D3" s="146"/>
      <c r="E3" s="146"/>
      <c r="F3" s="146"/>
      <c r="G3" s="146"/>
      <c r="H3" s="30"/>
      <c r="I3" s="30"/>
      <c r="J3" s="30"/>
      <c r="K3" s="30"/>
      <c r="L3" s="30"/>
      <c r="M3" s="30"/>
      <c r="N3" s="30"/>
      <c r="O3" s="34" t="s">
        <v>1</v>
      </c>
      <c r="V3" s="21" t="s">
        <v>52</v>
      </c>
      <c r="W3" s="35">
        <v>1</v>
      </c>
      <c r="X3" s="36" t="s">
        <v>4</v>
      </c>
      <c r="Y3" s="22">
        <v>0</v>
      </c>
      <c r="Z3" s="2">
        <v>1</v>
      </c>
      <c r="AA3" s="37" t="s">
        <v>50</v>
      </c>
      <c r="AB3" s="35"/>
      <c r="AC3" s="35"/>
      <c r="AD3" s="35"/>
      <c r="AE3" s="35"/>
      <c r="AF3" s="35"/>
    </row>
    <row r="4" spans="2:32" x14ac:dyDescent="0.25">
      <c r="B4" s="147" t="s">
        <v>71</v>
      </c>
      <c r="C4" s="147"/>
      <c r="D4" s="147"/>
      <c r="E4" s="147"/>
      <c r="F4" s="147"/>
      <c r="G4" s="147"/>
      <c r="H4" s="147"/>
      <c r="I4" s="147"/>
      <c r="O4" s="34" t="s">
        <v>2</v>
      </c>
      <c r="P4" s="23">
        <v>42.44</v>
      </c>
      <c r="Q4" t="s">
        <v>57</v>
      </c>
      <c r="V4" s="38"/>
      <c r="W4" s="35">
        <v>3</v>
      </c>
      <c r="X4" s="39" t="s">
        <v>5</v>
      </c>
      <c r="Y4" s="6">
        <v>0</v>
      </c>
      <c r="Z4" s="2">
        <v>1</v>
      </c>
      <c r="AA4" s="40">
        <v>0.75</v>
      </c>
      <c r="AB4" s="24">
        <v>1</v>
      </c>
      <c r="AC4" s="24">
        <v>1.5</v>
      </c>
      <c r="AD4" s="24">
        <v>2</v>
      </c>
      <c r="AE4" s="24">
        <v>2.5</v>
      </c>
      <c r="AF4" s="25">
        <v>1000</v>
      </c>
    </row>
    <row r="5" spans="2:32" ht="9" customHeight="1" x14ac:dyDescent="0.25">
      <c r="O5" s="34"/>
      <c r="P5" s="26"/>
      <c r="V5" s="38"/>
      <c r="W5" s="35"/>
      <c r="X5" s="39"/>
      <c r="Y5" s="6"/>
      <c r="Z5" s="2"/>
      <c r="AA5" s="41"/>
      <c r="AB5" s="27"/>
      <c r="AC5" s="27"/>
      <c r="AD5" s="27"/>
      <c r="AE5" s="27"/>
      <c r="AF5" s="28"/>
    </row>
    <row r="6" spans="2:32" x14ac:dyDescent="0.25">
      <c r="B6" s="54" t="s">
        <v>72</v>
      </c>
      <c r="C6" s="55"/>
      <c r="D6" s="55"/>
      <c r="E6" s="55"/>
      <c r="F6" s="55"/>
      <c r="G6" s="55"/>
      <c r="H6" s="55"/>
      <c r="I6" s="56"/>
      <c r="O6" s="34"/>
      <c r="P6" s="26"/>
      <c r="V6" s="38"/>
      <c r="W6" s="35"/>
      <c r="X6" s="39"/>
      <c r="Y6" s="6"/>
      <c r="Z6" s="2"/>
      <c r="AA6" s="41"/>
      <c r="AB6" s="27"/>
      <c r="AC6" s="27"/>
      <c r="AD6" s="27"/>
      <c r="AE6" s="27"/>
      <c r="AF6" s="28"/>
    </row>
    <row r="7" spans="2:32" x14ac:dyDescent="0.25">
      <c r="B7" s="57" t="s">
        <v>100</v>
      </c>
      <c r="C7" s="58"/>
      <c r="D7" s="58"/>
      <c r="E7" s="58"/>
      <c r="F7" s="58"/>
      <c r="G7" s="58"/>
      <c r="H7" s="58"/>
      <c r="I7" s="59"/>
      <c r="O7" s="34"/>
      <c r="P7" s="26"/>
      <c r="V7" s="38"/>
      <c r="W7" s="35"/>
      <c r="X7" s="39"/>
      <c r="Y7" s="6"/>
      <c r="Z7" s="2"/>
      <c r="AA7" s="41"/>
      <c r="AB7" s="27"/>
      <c r="AC7" s="27"/>
      <c r="AD7" s="27"/>
      <c r="AE7" s="27"/>
      <c r="AF7" s="28"/>
    </row>
    <row r="8" spans="2:32" x14ac:dyDescent="0.25">
      <c r="B8" s="57" t="s">
        <v>73</v>
      </c>
      <c r="C8" s="58"/>
      <c r="D8" s="58"/>
      <c r="E8" s="58"/>
      <c r="F8" s="58"/>
      <c r="G8" s="58"/>
      <c r="H8" s="60"/>
      <c r="I8" s="65" t="s">
        <v>66</v>
      </c>
      <c r="O8" s="34"/>
      <c r="P8" s="26"/>
      <c r="V8" s="38"/>
      <c r="W8" s="35"/>
      <c r="X8" s="39"/>
      <c r="Y8" s="6"/>
      <c r="Z8" s="2"/>
      <c r="AA8" s="41"/>
      <c r="AB8" s="27"/>
      <c r="AC8" s="27"/>
      <c r="AD8" s="27"/>
      <c r="AE8" s="27"/>
      <c r="AF8" s="28"/>
    </row>
    <row r="9" spans="2:32" x14ac:dyDescent="0.25">
      <c r="B9" s="61" t="s">
        <v>89</v>
      </c>
      <c r="C9" s="62"/>
      <c r="D9" s="62"/>
      <c r="E9" s="132"/>
      <c r="F9" s="62"/>
      <c r="G9" s="62"/>
      <c r="H9" s="62"/>
      <c r="I9" s="133"/>
      <c r="O9" s="34"/>
      <c r="P9" s="26"/>
      <c r="V9" s="38"/>
      <c r="W9" s="35"/>
      <c r="X9" s="39"/>
      <c r="Y9" s="6"/>
      <c r="Z9" s="2"/>
      <c r="AA9" s="41"/>
      <c r="AB9" s="27"/>
      <c r="AC9" s="27"/>
      <c r="AD9" s="27"/>
      <c r="AE9" s="27"/>
      <c r="AF9" s="28"/>
    </row>
    <row r="10" spans="2:32" ht="15.75" hidden="1" x14ac:dyDescent="0.25">
      <c r="B10" s="61"/>
      <c r="C10" s="62"/>
      <c r="D10" s="63"/>
      <c r="E10" s="63"/>
      <c r="F10" s="62"/>
      <c r="G10" s="62"/>
      <c r="H10" s="62"/>
      <c r="I10" s="64"/>
      <c r="O10" s="34"/>
      <c r="P10" s="26"/>
      <c r="V10" s="38"/>
      <c r="W10" s="35"/>
      <c r="X10" s="39"/>
      <c r="Y10" s="6"/>
      <c r="Z10" s="2"/>
      <c r="AA10" s="41"/>
      <c r="AB10" s="27"/>
      <c r="AC10" s="27"/>
      <c r="AD10" s="27"/>
      <c r="AE10" s="27"/>
      <c r="AF10" s="28"/>
    </row>
    <row r="11" spans="2:32" ht="11.25" customHeight="1" thickBot="1" x14ac:dyDescent="0.3">
      <c r="E11" s="29"/>
      <c r="O11" s="34"/>
      <c r="P11" s="26"/>
      <c r="V11" s="38"/>
      <c r="W11" s="35"/>
      <c r="X11" s="39"/>
      <c r="Y11" s="6"/>
      <c r="Z11" s="2"/>
      <c r="AA11" s="41"/>
      <c r="AB11" s="27"/>
      <c r="AC11" s="27"/>
      <c r="AD11" s="27"/>
      <c r="AE11" s="27"/>
      <c r="AF11" s="28"/>
    </row>
    <row r="12" spans="2:32" ht="15" customHeight="1" thickTop="1" x14ac:dyDescent="0.25">
      <c r="B12" s="66" t="s">
        <v>62</v>
      </c>
      <c r="C12" s="128" t="s">
        <v>7</v>
      </c>
      <c r="D12" t="s">
        <v>74</v>
      </c>
      <c r="O12" s="34"/>
      <c r="V12" s="38"/>
      <c r="W12" s="35">
        <v>4</v>
      </c>
      <c r="X12" s="39" t="s">
        <v>6</v>
      </c>
      <c r="Y12" s="53">
        <f>$P$23/43560*Z12*$Y$31</f>
        <v>40000</v>
      </c>
      <c r="Z12" s="2">
        <v>0.33848021840368397</v>
      </c>
      <c r="AA12" s="3">
        <f>Y12*AA$4</f>
        <v>30000</v>
      </c>
      <c r="AB12" s="4">
        <f>$Y12*AB$4-AA12</f>
        <v>10000</v>
      </c>
      <c r="AC12" s="4">
        <f>$Y12*AC$4-SUM(AA12:AB12)</f>
        <v>20000</v>
      </c>
      <c r="AD12" s="4">
        <f>$Y12*AD$4-SUM(AA12:AC12)</f>
        <v>20000</v>
      </c>
      <c r="AE12" s="4">
        <f>$Y12*AE$4-SUM(AA12:AD12)</f>
        <v>20000</v>
      </c>
      <c r="AF12" s="5">
        <f>$Y12*AF$4-SUM(AA12:AE12)</f>
        <v>39900000</v>
      </c>
    </row>
    <row r="13" spans="2:32" x14ac:dyDescent="0.25">
      <c r="B13" s="66" t="s">
        <v>63</v>
      </c>
      <c r="C13" s="129">
        <v>300000</v>
      </c>
      <c r="D13" t="s">
        <v>70</v>
      </c>
      <c r="O13" s="34" t="s">
        <v>3</v>
      </c>
      <c r="P13" t="s">
        <v>54</v>
      </c>
      <c r="V13" s="38"/>
      <c r="W13" s="35">
        <v>5</v>
      </c>
      <c r="X13" s="39" t="s">
        <v>7</v>
      </c>
      <c r="Y13" s="1">
        <f>$P$23/43560*Z13*$Y$31</f>
        <v>109000</v>
      </c>
      <c r="Z13" s="2">
        <v>0.92235859515003882</v>
      </c>
      <c r="AA13" s="3">
        <f t="shared" ref="AA13:AA21" si="0">Y13*AA$4</f>
        <v>81750</v>
      </c>
      <c r="AB13" s="4">
        <f t="shared" ref="AB13:AB21" si="1">$Y13*AB$4-AA13</f>
        <v>27250</v>
      </c>
      <c r="AC13" s="4">
        <f t="shared" ref="AC13:AC21" si="2">$Y13*AC$4-SUM(AA13:AB13)</f>
        <v>54500</v>
      </c>
      <c r="AD13" s="4">
        <f t="shared" ref="AD13:AD21" si="3">$Y13*AD$4-SUM(AA13:AC13)</f>
        <v>54500</v>
      </c>
      <c r="AE13" s="4">
        <f t="shared" ref="AE13:AE21" si="4">$Y13*AE$4-SUM(AA13:AD13)</f>
        <v>54500</v>
      </c>
      <c r="AF13" s="5">
        <f t="shared" ref="AF13:AF21" si="5">$Y13*AF$4-SUM(AA13:AE13)</f>
        <v>108727500</v>
      </c>
    </row>
    <row r="14" spans="2:32" x14ac:dyDescent="0.25">
      <c r="B14" s="141" t="s">
        <v>65</v>
      </c>
      <c r="C14" s="142">
        <v>1</v>
      </c>
      <c r="D14" t="s">
        <v>68</v>
      </c>
      <c r="O14" s="34"/>
      <c r="V14" s="38"/>
      <c r="W14" s="35"/>
      <c r="X14" s="39"/>
      <c r="Y14" s="1"/>
      <c r="Z14" s="2"/>
      <c r="AA14" s="3"/>
      <c r="AB14" s="4"/>
      <c r="AC14" s="4"/>
      <c r="AD14" s="4"/>
      <c r="AE14" s="4"/>
      <c r="AF14" s="5"/>
    </row>
    <row r="15" spans="2:32" ht="15.75" thickBot="1" x14ac:dyDescent="0.3">
      <c r="B15" s="141"/>
      <c r="C15" s="143"/>
      <c r="D15" t="s">
        <v>69</v>
      </c>
      <c r="F15" s="144" t="s">
        <v>67</v>
      </c>
      <c r="G15" s="144"/>
      <c r="H15" s="144"/>
      <c r="L15" t="s">
        <v>6</v>
      </c>
      <c r="M15">
        <v>4</v>
      </c>
      <c r="O15" s="34"/>
      <c r="P15" t="s">
        <v>49</v>
      </c>
      <c r="V15" s="38"/>
      <c r="W15" s="35">
        <v>6</v>
      </c>
      <c r="X15" s="39" t="s">
        <v>8</v>
      </c>
      <c r="Y15" s="1">
        <f>$P$23/43560*Z15*$Y$31</f>
        <v>109000</v>
      </c>
      <c r="Z15" s="2">
        <v>0.92235859515003882</v>
      </c>
      <c r="AA15" s="3">
        <f t="shared" si="0"/>
        <v>81750</v>
      </c>
      <c r="AB15" s="4">
        <f t="shared" si="1"/>
        <v>27250</v>
      </c>
      <c r="AC15" s="4">
        <f t="shared" si="2"/>
        <v>54500</v>
      </c>
      <c r="AD15" s="4">
        <f t="shared" si="3"/>
        <v>54500</v>
      </c>
      <c r="AE15" s="4">
        <f t="shared" si="4"/>
        <v>54500</v>
      </c>
      <c r="AF15" s="5">
        <f t="shared" si="5"/>
        <v>108727500</v>
      </c>
    </row>
    <row r="16" spans="2:32" ht="16.5" thickTop="1" thickBot="1" x14ac:dyDescent="0.3">
      <c r="B16" s="67" t="s">
        <v>77</v>
      </c>
      <c r="C16" s="126">
        <f>C23+C31</f>
        <v>226.48124999999999</v>
      </c>
      <c r="D16" t="s">
        <v>78</v>
      </c>
      <c r="F16" s="68"/>
      <c r="G16" s="68"/>
      <c r="H16" s="68"/>
      <c r="L16" t="s">
        <v>7</v>
      </c>
      <c r="M16">
        <v>5</v>
      </c>
      <c r="O16" s="34"/>
      <c r="V16" s="38"/>
      <c r="W16" s="35"/>
      <c r="X16" s="39"/>
      <c r="Y16" s="1"/>
      <c r="Z16" s="2"/>
      <c r="AA16" s="3"/>
      <c r="AB16" s="4"/>
      <c r="AC16" s="4"/>
      <c r="AD16" s="4"/>
      <c r="AE16" s="4"/>
      <c r="AF16" s="5"/>
    </row>
    <row r="17" spans="2:32" ht="21" customHeight="1" thickTop="1" x14ac:dyDescent="0.25">
      <c r="L17" t="s">
        <v>8</v>
      </c>
      <c r="M17">
        <v>6</v>
      </c>
      <c r="O17" s="34"/>
      <c r="P17" t="s">
        <v>55</v>
      </c>
      <c r="V17" s="38"/>
      <c r="W17" s="35">
        <v>7</v>
      </c>
      <c r="X17" s="39" t="s">
        <v>9</v>
      </c>
      <c r="Y17" s="1">
        <f>$P$23/43560*Z17*$Y$31</f>
        <v>152000</v>
      </c>
      <c r="Z17" s="2">
        <v>1.2862248299339991</v>
      </c>
      <c r="AA17" s="3">
        <f t="shared" si="0"/>
        <v>114000</v>
      </c>
      <c r="AB17" s="4">
        <f t="shared" si="1"/>
        <v>38000</v>
      </c>
      <c r="AC17" s="4">
        <f t="shared" si="2"/>
        <v>76000</v>
      </c>
      <c r="AD17" s="4">
        <f t="shared" si="3"/>
        <v>76000</v>
      </c>
      <c r="AE17" s="4">
        <f t="shared" si="4"/>
        <v>76000</v>
      </c>
      <c r="AF17" s="5">
        <f t="shared" si="5"/>
        <v>151620000</v>
      </c>
    </row>
    <row r="18" spans="2:32" ht="12.75" customHeight="1" x14ac:dyDescent="0.25">
      <c r="B18" s="122" t="s">
        <v>83</v>
      </c>
      <c r="C18" s="122"/>
      <c r="D18" s="122"/>
      <c r="E18" s="122"/>
      <c r="F18" s="122"/>
      <c r="G18" s="122"/>
      <c r="H18" s="122"/>
      <c r="I18" s="122"/>
      <c r="L18" t="s">
        <v>9</v>
      </c>
      <c r="M18">
        <v>7</v>
      </c>
      <c r="O18" s="34"/>
      <c r="V18" s="38"/>
      <c r="W18" s="35"/>
      <c r="X18" s="39"/>
      <c r="Y18" s="1"/>
      <c r="Z18" s="2"/>
      <c r="AA18" s="3"/>
      <c r="AB18" s="4"/>
      <c r="AC18" s="4"/>
      <c r="AD18" s="4"/>
      <c r="AE18" s="4"/>
      <c r="AF18" s="5"/>
    </row>
    <row r="19" spans="2:32" x14ac:dyDescent="0.25">
      <c r="B19" s="101" t="s">
        <v>80</v>
      </c>
      <c r="C19" s="102"/>
      <c r="D19" s="102"/>
      <c r="E19" s="102"/>
      <c r="F19" s="102"/>
      <c r="G19" s="102"/>
      <c r="H19" s="102"/>
      <c r="I19" s="103"/>
      <c r="L19" t="s">
        <v>10</v>
      </c>
      <c r="M19">
        <v>8</v>
      </c>
      <c r="O19" s="34"/>
      <c r="P19" t="s">
        <v>56</v>
      </c>
      <c r="V19" s="38"/>
      <c r="W19" s="35">
        <v>8</v>
      </c>
      <c r="X19" s="39" t="s">
        <v>10</v>
      </c>
      <c r="Y19" s="1">
        <f>$P$23/43560*Z19*$Y$31</f>
        <v>152000</v>
      </c>
      <c r="Z19" s="2">
        <v>1.2862248299339991</v>
      </c>
      <c r="AA19" s="3">
        <f t="shared" si="0"/>
        <v>114000</v>
      </c>
      <c r="AB19" s="4">
        <f t="shared" si="1"/>
        <v>38000</v>
      </c>
      <c r="AC19" s="4">
        <f t="shared" si="2"/>
        <v>76000</v>
      </c>
      <c r="AD19" s="4">
        <f t="shared" si="3"/>
        <v>76000</v>
      </c>
      <c r="AE19" s="4">
        <f t="shared" si="4"/>
        <v>76000</v>
      </c>
      <c r="AF19" s="5">
        <f t="shared" si="5"/>
        <v>151620000</v>
      </c>
    </row>
    <row r="20" spans="2:32" x14ac:dyDescent="0.25">
      <c r="B20" s="104" t="s">
        <v>87</v>
      </c>
      <c r="C20" s="105"/>
      <c r="D20" s="105"/>
      <c r="E20" s="105"/>
      <c r="F20" s="105"/>
      <c r="G20" s="105"/>
      <c r="H20" s="105"/>
      <c r="I20" s="106"/>
      <c r="L20" t="s">
        <v>11</v>
      </c>
      <c r="M20">
        <v>9</v>
      </c>
      <c r="O20" s="34"/>
      <c r="V20" s="38"/>
      <c r="W20" s="35">
        <v>9</v>
      </c>
      <c r="X20" s="39" t="s">
        <v>11</v>
      </c>
      <c r="Y20" s="1">
        <f>$P$23/43560*Z20*$Y$31</f>
        <v>109000</v>
      </c>
      <c r="Z20" s="2">
        <v>0.92235859515003882</v>
      </c>
      <c r="AA20" s="3">
        <f t="shared" si="0"/>
        <v>81750</v>
      </c>
      <c r="AB20" s="4">
        <f t="shared" si="1"/>
        <v>27250</v>
      </c>
      <c r="AC20" s="4">
        <f t="shared" si="2"/>
        <v>54500</v>
      </c>
      <c r="AD20" s="4">
        <f t="shared" si="3"/>
        <v>54500</v>
      </c>
      <c r="AE20" s="4">
        <f t="shared" si="4"/>
        <v>54500</v>
      </c>
      <c r="AF20" s="5">
        <f t="shared" si="5"/>
        <v>108727500</v>
      </c>
    </row>
    <row r="21" spans="2:32" x14ac:dyDescent="0.25">
      <c r="B21" s="104" t="s">
        <v>88</v>
      </c>
      <c r="C21" s="105"/>
      <c r="D21" s="105"/>
      <c r="E21" s="105"/>
      <c r="F21" s="105"/>
      <c r="G21" s="105"/>
      <c r="H21" s="105"/>
      <c r="I21" s="106"/>
      <c r="L21" t="s">
        <v>12</v>
      </c>
      <c r="M21">
        <v>10</v>
      </c>
      <c r="O21" s="34"/>
      <c r="V21" s="38"/>
      <c r="W21" s="35">
        <v>10</v>
      </c>
      <c r="X21" s="39" t="s">
        <v>12</v>
      </c>
      <c r="Y21" s="1">
        <f>$P$23/43560*Z21*$Y$31</f>
        <v>40000</v>
      </c>
      <c r="Z21" s="2">
        <v>0.33848021840368397</v>
      </c>
      <c r="AA21" s="3">
        <f t="shared" si="0"/>
        <v>30000</v>
      </c>
      <c r="AB21" s="4">
        <f t="shared" si="1"/>
        <v>10000</v>
      </c>
      <c r="AC21" s="4">
        <f t="shared" si="2"/>
        <v>20000</v>
      </c>
      <c r="AD21" s="4">
        <f t="shared" si="3"/>
        <v>20000</v>
      </c>
      <c r="AE21" s="4">
        <f t="shared" si="4"/>
        <v>20000</v>
      </c>
      <c r="AF21" s="5">
        <f t="shared" si="5"/>
        <v>39900000</v>
      </c>
    </row>
    <row r="22" spans="2:32" ht="11.25" customHeight="1" x14ac:dyDescent="0.25">
      <c r="B22" s="104"/>
      <c r="C22" s="105"/>
      <c r="D22" s="105"/>
      <c r="E22" s="105"/>
      <c r="F22" s="105"/>
      <c r="G22" s="105"/>
      <c r="H22" s="105"/>
      <c r="I22" s="106"/>
      <c r="O22" s="71" t="s">
        <v>42</v>
      </c>
      <c r="V22" s="38"/>
      <c r="W22" s="35">
        <v>11</v>
      </c>
      <c r="X22" s="39" t="s">
        <v>13</v>
      </c>
      <c r="Y22" s="6">
        <v>0</v>
      </c>
      <c r="Z22" s="2">
        <v>1</v>
      </c>
      <c r="AA22" s="72"/>
      <c r="AB22" s="35"/>
      <c r="AC22" s="35"/>
      <c r="AD22" s="35"/>
      <c r="AE22" s="35"/>
      <c r="AF22" s="73"/>
    </row>
    <row r="23" spans="2:32" ht="15.75" thickBot="1" x14ac:dyDescent="0.3">
      <c r="B23" s="107" t="s">
        <v>79</v>
      </c>
      <c r="C23" s="108">
        <f>C14*P4</f>
        <v>42.44</v>
      </c>
      <c r="D23" s="109" t="s">
        <v>101</v>
      </c>
      <c r="E23" s="109"/>
      <c r="F23" s="109"/>
      <c r="G23" s="105"/>
      <c r="H23" s="105"/>
      <c r="I23" s="106"/>
      <c r="O23" s="34" t="s">
        <v>32</v>
      </c>
      <c r="P23" s="7">
        <f>C14*43560</f>
        <v>43560</v>
      </c>
      <c r="U23" s="8">
        <f>P23/43560</f>
        <v>1</v>
      </c>
      <c r="V23" s="9" t="s">
        <v>58</v>
      </c>
      <c r="W23" s="35">
        <v>12</v>
      </c>
      <c r="X23" s="74" t="s">
        <v>14</v>
      </c>
      <c r="Y23" s="10">
        <v>0</v>
      </c>
      <c r="Z23" s="2">
        <v>1</v>
      </c>
      <c r="AA23" s="75"/>
      <c r="AB23" s="76"/>
      <c r="AC23" s="76"/>
      <c r="AD23" s="76"/>
      <c r="AE23" s="76"/>
      <c r="AF23" s="77"/>
    </row>
    <row r="24" spans="2:32" ht="15.75" thickBot="1" x14ac:dyDescent="0.3">
      <c r="B24" s="104"/>
      <c r="C24" s="105"/>
      <c r="D24" s="105"/>
      <c r="E24" s="105"/>
      <c r="F24" s="105"/>
      <c r="G24" s="105"/>
      <c r="H24" s="105"/>
      <c r="I24" s="106"/>
      <c r="O24" s="34" t="s">
        <v>41</v>
      </c>
      <c r="P24" s="7">
        <f>VLOOKUP(C12,L15:M21,2,)</f>
        <v>5</v>
      </c>
      <c r="V24" s="38"/>
    </row>
    <row r="25" spans="2:32" ht="16.5" thickBot="1" x14ac:dyDescent="0.3">
      <c r="B25" s="110"/>
      <c r="C25" s="105"/>
      <c r="D25" s="105"/>
      <c r="E25" s="105"/>
      <c r="F25" s="105"/>
      <c r="G25" s="105"/>
      <c r="H25" s="105"/>
      <c r="I25" s="106"/>
      <c r="O25" s="34" t="s">
        <v>31</v>
      </c>
      <c r="P25" s="7">
        <f>C13</f>
        <v>300000</v>
      </c>
      <c r="R25" t="s">
        <v>59</v>
      </c>
      <c r="V25" s="38"/>
      <c r="X25" s="78" t="s">
        <v>15</v>
      </c>
      <c r="Y25" s="11">
        <v>325851</v>
      </c>
      <c r="AA25" s="79"/>
      <c r="AB25" s="80" t="s">
        <v>33</v>
      </c>
      <c r="AC25" s="80">
        <v>2024</v>
      </c>
      <c r="AD25" s="80">
        <v>2025</v>
      </c>
      <c r="AE25" s="80">
        <v>2026</v>
      </c>
      <c r="AF25" s="81">
        <v>2027</v>
      </c>
    </row>
    <row r="26" spans="2:32" ht="16.5" customHeight="1" thickBot="1" x14ac:dyDescent="0.3">
      <c r="B26" s="111" t="s">
        <v>81</v>
      </c>
      <c r="C26" s="112" t="s">
        <v>82</v>
      </c>
      <c r="D26" s="112" t="s">
        <v>26</v>
      </c>
      <c r="E26" s="112" t="s">
        <v>27</v>
      </c>
      <c r="F26" s="112" t="s">
        <v>28</v>
      </c>
      <c r="G26" s="112" t="s">
        <v>29</v>
      </c>
      <c r="H26" s="112" t="s">
        <v>30</v>
      </c>
      <c r="I26" s="106"/>
      <c r="O26" s="34"/>
      <c r="P26" s="35" t="s">
        <v>25</v>
      </c>
      <c r="Q26" s="35" t="s">
        <v>26</v>
      </c>
      <c r="R26" s="35" t="s">
        <v>27</v>
      </c>
      <c r="S26" s="35" t="s">
        <v>28</v>
      </c>
      <c r="T26" s="35" t="s">
        <v>29</v>
      </c>
      <c r="U26" s="35" t="s">
        <v>30</v>
      </c>
      <c r="V26" s="38"/>
      <c r="X26" s="34" t="s">
        <v>16</v>
      </c>
      <c r="Y26" s="12">
        <v>3.4</v>
      </c>
      <c r="AA26" s="82" t="s">
        <v>34</v>
      </c>
      <c r="AB26" s="83" t="s">
        <v>35</v>
      </c>
      <c r="AC26" s="84">
        <v>0.03</v>
      </c>
      <c r="AD26" s="84">
        <v>0.03</v>
      </c>
      <c r="AE26" s="84">
        <v>0.03</v>
      </c>
      <c r="AF26" s="85">
        <v>0.03</v>
      </c>
    </row>
    <row r="27" spans="2:32" ht="30.75" thickBot="1" x14ac:dyDescent="0.3">
      <c r="B27" s="113" t="s">
        <v>104</v>
      </c>
      <c r="C27" s="148">
        <f t="shared" ref="C27" si="6">P27</f>
        <v>0.129</v>
      </c>
      <c r="D27" s="148">
        <f t="shared" ref="D27" si="7">Q27</f>
        <v>0.36799999999999999</v>
      </c>
      <c r="E27" s="148">
        <f t="shared" ref="E27" si="8">R27</f>
        <v>0.45900000000000002</v>
      </c>
      <c r="F27" s="148">
        <f t="shared" ref="F27" si="9">S27</f>
        <v>0.73399999999999999</v>
      </c>
      <c r="G27" s="148">
        <f t="shared" ref="G27" si="10">T27</f>
        <v>1.1020000000000001</v>
      </c>
      <c r="H27" s="148">
        <f t="shared" ref="H27" si="11">U27</f>
        <v>1.3959999999999999</v>
      </c>
      <c r="I27" s="106"/>
      <c r="O27" s="34" t="s">
        <v>102</v>
      </c>
      <c r="P27" s="42">
        <v>0.129</v>
      </c>
      <c r="Q27" s="42">
        <v>0.36799999999999999</v>
      </c>
      <c r="R27" s="42">
        <v>0.45900000000000002</v>
      </c>
      <c r="S27" s="42">
        <v>0.73399999999999999</v>
      </c>
      <c r="T27" s="42">
        <v>1.1020000000000001</v>
      </c>
      <c r="U27" s="49">
        <v>1.3959999999999999</v>
      </c>
      <c r="V27" s="38"/>
      <c r="X27" s="34" t="s">
        <v>17</v>
      </c>
      <c r="Y27" s="13">
        <v>0.64</v>
      </c>
      <c r="AA27" s="82" t="s">
        <v>36</v>
      </c>
      <c r="AB27" s="83" t="s">
        <v>35</v>
      </c>
      <c r="AC27" s="84">
        <v>0.03</v>
      </c>
      <c r="AD27" s="84">
        <v>0.03</v>
      </c>
      <c r="AE27" s="84">
        <v>0.03</v>
      </c>
      <c r="AF27" s="85">
        <v>0.03</v>
      </c>
    </row>
    <row r="28" spans="2:32" ht="29.25" customHeight="1" thickBot="1" x14ac:dyDescent="0.3">
      <c r="B28" s="113" t="s">
        <v>86</v>
      </c>
      <c r="C28" s="114">
        <f t="shared" ref="C28" si="12">P28</f>
        <v>81750</v>
      </c>
      <c r="D28" s="114">
        <f t="shared" ref="D28" si="13">Q28</f>
        <v>27250</v>
      </c>
      <c r="E28" s="114">
        <f t="shared" ref="E28" si="14">R28</f>
        <v>54500</v>
      </c>
      <c r="F28" s="114">
        <f t="shared" ref="F28" si="15">S28</f>
        <v>54500</v>
      </c>
      <c r="G28" s="114">
        <f t="shared" ref="G28" si="16">T28</f>
        <v>54500</v>
      </c>
      <c r="H28" s="114">
        <f t="shared" ref="H28" si="17">U28</f>
        <v>108727500</v>
      </c>
      <c r="I28" s="106"/>
      <c r="O28" s="34" t="s">
        <v>43</v>
      </c>
      <c r="P28" s="14">
        <f>VLOOKUP($P$24,$W$3:$AF$23,5,FALSE)</f>
        <v>81750</v>
      </c>
      <c r="Q28" s="14">
        <f>VLOOKUP($P$24,$W$3:$AF$23,6,FALSE)</f>
        <v>27250</v>
      </c>
      <c r="R28" s="14">
        <f>VLOOKUP($P$24,$W$3:$AF$23,7,FALSE)</f>
        <v>54500</v>
      </c>
      <c r="S28" s="14">
        <f>VLOOKUP($P$24,$W$3:$AF$23,8,FALSE)</f>
        <v>54500</v>
      </c>
      <c r="T28" s="14">
        <f>VLOOKUP($P$24,$W$3:$AF$23,9,FALSE)</f>
        <v>54500</v>
      </c>
      <c r="U28" s="14">
        <f>VLOOKUP($P$24,$W$3:$AF$23,10,FALSE)</f>
        <v>108727500</v>
      </c>
      <c r="V28" s="38"/>
      <c r="X28" s="34" t="s">
        <v>18</v>
      </c>
      <c r="Y28" s="13">
        <v>0.2</v>
      </c>
      <c r="AA28" s="82" t="s">
        <v>37</v>
      </c>
      <c r="AB28" s="83" t="s">
        <v>35</v>
      </c>
      <c r="AC28" s="84">
        <v>0.03</v>
      </c>
      <c r="AD28" s="84">
        <v>0.03</v>
      </c>
      <c r="AE28" s="84">
        <v>0.03</v>
      </c>
      <c r="AF28" s="85">
        <v>0.03</v>
      </c>
    </row>
    <row r="29" spans="2:32" ht="18.75" customHeight="1" thickBot="1" x14ac:dyDescent="0.3">
      <c r="B29" s="115" t="s">
        <v>75</v>
      </c>
      <c r="C29" s="116">
        <f>P30</f>
        <v>81750</v>
      </c>
      <c r="D29" s="116">
        <f>Q30</f>
        <v>27250</v>
      </c>
      <c r="E29" s="116">
        <f t="shared" ref="E29:H29" si="18">R30</f>
        <v>54500</v>
      </c>
      <c r="F29" s="116">
        <f t="shared" si="18"/>
        <v>54500</v>
      </c>
      <c r="G29" s="116">
        <f t="shared" si="18"/>
        <v>54500</v>
      </c>
      <c r="H29" s="116">
        <f t="shared" si="18"/>
        <v>27500</v>
      </c>
      <c r="I29" s="106"/>
      <c r="O29" s="34" t="s">
        <v>60</v>
      </c>
      <c r="P29" s="15">
        <f>P25</f>
        <v>300000</v>
      </c>
      <c r="Q29" s="15">
        <f>IF(P30&gt;0,P29-P30,0)</f>
        <v>218250</v>
      </c>
      <c r="R29" s="15">
        <f t="shared" ref="R29:U29" si="19">IF(Q30&gt;0,Q29-Q30,0)</f>
        <v>191000</v>
      </c>
      <c r="S29" s="15">
        <f>IF(R30&gt;0,R29-R30,0)</f>
        <v>136500</v>
      </c>
      <c r="T29" s="15">
        <f t="shared" si="19"/>
        <v>82000</v>
      </c>
      <c r="U29" s="15">
        <f t="shared" si="19"/>
        <v>27500</v>
      </c>
      <c r="V29" s="38"/>
      <c r="X29" s="34" t="s">
        <v>19</v>
      </c>
      <c r="Y29" s="16">
        <v>0.35</v>
      </c>
      <c r="AA29" s="86" t="s">
        <v>38</v>
      </c>
      <c r="AB29" s="87"/>
      <c r="AC29" s="87"/>
      <c r="AD29" s="87"/>
      <c r="AE29" s="87"/>
      <c r="AF29" s="88"/>
    </row>
    <row r="30" spans="2:32" ht="16.5" customHeight="1" thickBot="1" x14ac:dyDescent="0.35">
      <c r="B30" s="115" t="s">
        <v>76</v>
      </c>
      <c r="C30" s="117">
        <f>P32</f>
        <v>10.54575</v>
      </c>
      <c r="D30" s="117">
        <f>Q32</f>
        <v>10.028</v>
      </c>
      <c r="E30" s="117">
        <f t="shared" ref="E30:H30" si="20">R32</f>
        <v>25.015499999999999</v>
      </c>
      <c r="F30" s="117">
        <f t="shared" si="20"/>
        <v>40.003</v>
      </c>
      <c r="G30" s="117">
        <f t="shared" si="20"/>
        <v>60.059000000000005</v>
      </c>
      <c r="H30" s="117">
        <f t="shared" si="20"/>
        <v>38.39</v>
      </c>
      <c r="I30" s="106"/>
      <c r="O30" s="34" t="s">
        <v>44</v>
      </c>
      <c r="P30" s="14">
        <f>IF(P29&gt;=P28,P28,P29)</f>
        <v>81750</v>
      </c>
      <c r="Q30" s="14">
        <f t="shared" ref="Q30:U30" si="21">IF(Q29&gt;=Q28,Q28,Q29)</f>
        <v>27250</v>
      </c>
      <c r="R30" s="14">
        <f t="shared" si="21"/>
        <v>54500</v>
      </c>
      <c r="S30" s="14">
        <f t="shared" si="21"/>
        <v>54500</v>
      </c>
      <c r="T30" s="14">
        <f t="shared" si="21"/>
        <v>54500</v>
      </c>
      <c r="U30" s="14">
        <f t="shared" si="21"/>
        <v>27500</v>
      </c>
      <c r="V30" s="38"/>
      <c r="X30" s="34" t="s">
        <v>20</v>
      </c>
      <c r="Y30" s="16">
        <v>0.53</v>
      </c>
      <c r="AA30" s="89" t="s">
        <v>39</v>
      </c>
      <c r="AB30" s="90">
        <v>40</v>
      </c>
      <c r="AC30" s="90">
        <v>41.2</v>
      </c>
      <c r="AD30" s="90">
        <v>42.44</v>
      </c>
      <c r="AE30" s="90">
        <v>43.71</v>
      </c>
      <c r="AF30" s="91">
        <v>45.02</v>
      </c>
    </row>
    <row r="31" spans="2:32" ht="30.75" customHeight="1" thickBot="1" x14ac:dyDescent="0.3">
      <c r="B31" s="118" t="str">
        <f>O33</f>
        <v>Total Usage Charge (Total Tiers)</v>
      </c>
      <c r="C31" s="127">
        <f>P33</f>
        <v>184.04124999999999</v>
      </c>
      <c r="D31" s="104"/>
      <c r="E31" s="105"/>
      <c r="F31" s="105"/>
      <c r="G31" s="105"/>
      <c r="H31" s="105"/>
      <c r="I31" s="106"/>
      <c r="O31" s="34"/>
      <c r="V31" s="38"/>
      <c r="X31" s="92" t="s">
        <v>48</v>
      </c>
      <c r="Y31" s="17">
        <f>$Y$25*$Y$26/6*Y27</f>
        <v>118175.296</v>
      </c>
      <c r="AA31" s="86" t="s">
        <v>40</v>
      </c>
      <c r="AB31" s="93"/>
      <c r="AC31" s="93"/>
      <c r="AD31" s="93"/>
      <c r="AE31" s="93"/>
      <c r="AF31" s="94"/>
    </row>
    <row r="32" spans="2:32" ht="16.5" customHeight="1" thickBot="1" x14ac:dyDescent="0.3">
      <c r="B32" s="104"/>
      <c r="C32" s="105"/>
      <c r="D32" s="105"/>
      <c r="E32" s="105"/>
      <c r="F32" s="105"/>
      <c r="G32" s="105"/>
      <c r="H32" s="105"/>
      <c r="I32" s="106"/>
      <c r="O32" s="34" t="s">
        <v>45</v>
      </c>
      <c r="P32" s="18">
        <f>P30*P27/1000</f>
        <v>10.54575</v>
      </c>
      <c r="Q32" s="18">
        <f t="shared" ref="Q32:U32" si="22">Q30*Q27/1000</f>
        <v>10.028</v>
      </c>
      <c r="R32" s="18">
        <f t="shared" si="22"/>
        <v>25.015499999999999</v>
      </c>
      <c r="S32" s="18">
        <f t="shared" si="22"/>
        <v>40.003</v>
      </c>
      <c r="T32" s="18">
        <f t="shared" si="22"/>
        <v>60.059000000000005</v>
      </c>
      <c r="U32" s="18">
        <f t="shared" si="22"/>
        <v>38.39</v>
      </c>
      <c r="V32" s="38"/>
      <c r="X32" s="43" t="s">
        <v>21</v>
      </c>
      <c r="Y32" s="17">
        <f>Y31/1000</f>
        <v>118.175296</v>
      </c>
      <c r="AA32" s="44" t="s">
        <v>25</v>
      </c>
      <c r="AB32" s="42">
        <v>0.12</v>
      </c>
      <c r="AC32" s="42">
        <v>0.125</v>
      </c>
      <c r="AD32" s="42">
        <v>0.129</v>
      </c>
      <c r="AE32" s="42">
        <v>0.13200000000000001</v>
      </c>
      <c r="AF32" s="45">
        <v>0.13600000000000001</v>
      </c>
    </row>
    <row r="33" spans="2:32" ht="15.75" customHeight="1" thickBot="1" x14ac:dyDescent="0.3">
      <c r="B33" s="130" t="s">
        <v>85</v>
      </c>
      <c r="C33" s="105"/>
      <c r="D33" s="105"/>
      <c r="E33" s="105"/>
      <c r="F33" s="105"/>
      <c r="G33" s="119"/>
      <c r="H33" s="119"/>
      <c r="I33" s="123"/>
      <c r="O33" s="34" t="s">
        <v>47</v>
      </c>
      <c r="P33" s="19">
        <f>SUM(P32:U32)</f>
        <v>184.04124999999999</v>
      </c>
      <c r="V33" s="38"/>
      <c r="X33" s="46" t="s">
        <v>22</v>
      </c>
      <c r="Y33" s="17">
        <f>$Y$25*$Y$26/6*Y28</f>
        <v>36929.78</v>
      </c>
      <c r="AA33" s="44" t="s">
        <v>26</v>
      </c>
      <c r="AB33" s="42">
        <v>0.34300000000000003</v>
      </c>
      <c r="AC33" s="42">
        <v>0.35699999999999998</v>
      </c>
      <c r="AD33" s="42">
        <v>0.36699999999999999</v>
      </c>
      <c r="AE33" s="42">
        <v>0.378</v>
      </c>
      <c r="AF33" s="45">
        <v>0.39</v>
      </c>
    </row>
    <row r="34" spans="2:32" ht="15.75" customHeight="1" thickBot="1" x14ac:dyDescent="0.3">
      <c r="B34" s="131" t="s">
        <v>84</v>
      </c>
      <c r="C34" s="124"/>
      <c r="D34" s="125"/>
      <c r="E34" s="120"/>
      <c r="F34" s="120"/>
      <c r="G34" s="120"/>
      <c r="H34" s="120"/>
      <c r="I34" s="121"/>
      <c r="O34" s="34" t="s">
        <v>61</v>
      </c>
      <c r="P34" s="19">
        <f>P23/43560*P4</f>
        <v>42.44</v>
      </c>
      <c r="V34" s="38"/>
      <c r="X34" s="43" t="s">
        <v>21</v>
      </c>
      <c r="Y34" s="17">
        <f>Y33/1000</f>
        <v>36.929780000000001</v>
      </c>
      <c r="AA34" s="44" t="s">
        <v>27</v>
      </c>
      <c r="AB34" s="42">
        <v>0.42899999999999999</v>
      </c>
      <c r="AC34" s="42">
        <v>0.44600000000000001</v>
      </c>
      <c r="AD34" s="42">
        <v>0.45900000000000002</v>
      </c>
      <c r="AE34" s="42">
        <v>0.47299999999999998</v>
      </c>
      <c r="AF34" s="45">
        <v>0.48699999999999999</v>
      </c>
    </row>
    <row r="35" spans="2:32" ht="15.75" customHeight="1" thickBot="1" x14ac:dyDescent="0.3">
      <c r="B35" s="97"/>
      <c r="C35" s="69"/>
      <c r="D35" s="96"/>
      <c r="E35" s="95"/>
      <c r="F35" s="95"/>
      <c r="G35" s="95"/>
      <c r="H35" s="95"/>
      <c r="I35" s="95"/>
      <c r="O35" s="98" t="s">
        <v>46</v>
      </c>
      <c r="P35" s="20">
        <f>P34+P33</f>
        <v>226.48124999999999</v>
      </c>
      <c r="Q35" s="99"/>
      <c r="R35" s="99"/>
      <c r="S35" s="99"/>
      <c r="T35" s="99"/>
      <c r="U35" s="99"/>
      <c r="V35" s="100"/>
      <c r="X35" s="46" t="s">
        <v>23</v>
      </c>
      <c r="Y35" s="17">
        <f>$Y$25*$Y$26/6*Y29</f>
        <v>64627.114999999991</v>
      </c>
      <c r="AA35" s="44" t="s">
        <v>28</v>
      </c>
      <c r="AB35" s="42">
        <v>0.68600000000000005</v>
      </c>
      <c r="AC35" s="42">
        <v>0.71299999999999997</v>
      </c>
      <c r="AD35" s="42">
        <v>0.73499999999999999</v>
      </c>
      <c r="AE35" s="42">
        <v>0.75700000000000001</v>
      </c>
      <c r="AF35" s="45">
        <v>0.77900000000000003</v>
      </c>
    </row>
    <row r="36" spans="2:32" ht="16.5" thickBot="1" x14ac:dyDescent="0.3">
      <c r="B36" s="70"/>
      <c r="X36" s="43" t="s">
        <v>21</v>
      </c>
      <c r="Y36" s="17">
        <f>Y35/1000</f>
        <v>64.627114999999989</v>
      </c>
      <c r="AA36" s="44" t="s">
        <v>29</v>
      </c>
      <c r="AB36" s="42">
        <v>1.0289999999999999</v>
      </c>
      <c r="AC36" s="42">
        <v>1.07</v>
      </c>
      <c r="AD36" s="42">
        <v>1.1020000000000001</v>
      </c>
      <c r="AE36" s="42">
        <v>1.135</v>
      </c>
      <c r="AF36" s="45">
        <v>1.169</v>
      </c>
    </row>
    <row r="37" spans="2:32" ht="16.5" thickBot="1" x14ac:dyDescent="0.3">
      <c r="B37" s="70"/>
      <c r="P37" s="47"/>
      <c r="Q37" s="47"/>
      <c r="R37" s="47"/>
      <c r="S37" s="47"/>
      <c r="T37" s="47"/>
      <c r="U37" s="47"/>
      <c r="X37" s="46" t="s">
        <v>24</v>
      </c>
      <c r="Y37" s="17">
        <f>$Y$25*$Y$26/6*Y30</f>
        <v>97863.917000000001</v>
      </c>
      <c r="AA37" s="48" t="s">
        <v>30</v>
      </c>
      <c r="AB37" s="49">
        <v>1.3029999999999999</v>
      </c>
      <c r="AC37" s="49">
        <v>1.355</v>
      </c>
      <c r="AD37" s="49">
        <v>1.3959999999999999</v>
      </c>
      <c r="AE37" s="49">
        <v>1.4370000000000001</v>
      </c>
      <c r="AF37" s="50">
        <v>1.4810000000000001</v>
      </c>
    </row>
    <row r="38" spans="2:32" ht="16.5" thickBot="1" x14ac:dyDescent="0.3">
      <c r="Q38" s="47"/>
      <c r="R38" s="47"/>
      <c r="S38" s="47"/>
      <c r="T38" s="47"/>
      <c r="U38" s="47"/>
      <c r="X38" s="51" t="s">
        <v>21</v>
      </c>
      <c r="Y38" s="52">
        <f>Y37/1000</f>
        <v>97.863917000000001</v>
      </c>
      <c r="AB38" s="135">
        <v>2023</v>
      </c>
      <c r="AC38" s="135">
        <v>2024</v>
      </c>
      <c r="AD38" s="135">
        <v>2025</v>
      </c>
      <c r="AE38" s="135">
        <v>2026</v>
      </c>
      <c r="AF38" s="135">
        <v>2027</v>
      </c>
    </row>
    <row r="40" spans="2:32" ht="15.75" thickBot="1" x14ac:dyDescent="0.3">
      <c r="Y40" s="47"/>
    </row>
    <row r="41" spans="2:32" ht="19.5" x14ac:dyDescent="0.3">
      <c r="O41" s="136" t="s">
        <v>95</v>
      </c>
      <c r="P41" s="137"/>
      <c r="Q41" s="31"/>
      <c r="R41" s="31"/>
      <c r="S41" s="31"/>
      <c r="T41" s="31"/>
      <c r="U41" s="31"/>
      <c r="V41" s="134"/>
    </row>
    <row r="42" spans="2:32" ht="19.5" x14ac:dyDescent="0.3">
      <c r="O42" s="34" t="s">
        <v>96</v>
      </c>
      <c r="P42" s="138"/>
      <c r="V42" s="38"/>
    </row>
    <row r="43" spans="2:32" x14ac:dyDescent="0.25">
      <c r="O43" s="34" t="s">
        <v>94</v>
      </c>
      <c r="V43" s="38"/>
    </row>
    <row r="44" spans="2:32" x14ac:dyDescent="0.25">
      <c r="O44" s="34" t="s">
        <v>90</v>
      </c>
      <c r="V44" s="38"/>
    </row>
    <row r="45" spans="2:32" x14ac:dyDescent="0.25">
      <c r="O45" s="34" t="s">
        <v>91</v>
      </c>
      <c r="V45" s="38"/>
    </row>
    <row r="46" spans="2:32" x14ac:dyDescent="0.25">
      <c r="O46" s="34" t="s">
        <v>92</v>
      </c>
      <c r="V46" s="38"/>
    </row>
    <row r="47" spans="2:32" x14ac:dyDescent="0.25">
      <c r="O47" s="34" t="s">
        <v>93</v>
      </c>
      <c r="V47" s="38"/>
    </row>
    <row r="48" spans="2:32" x14ac:dyDescent="0.25">
      <c r="O48" s="34" t="s">
        <v>97</v>
      </c>
      <c r="V48" s="38"/>
    </row>
    <row r="49" spans="15:22" x14ac:dyDescent="0.25">
      <c r="O49" s="34" t="s">
        <v>98</v>
      </c>
      <c r="V49" s="38"/>
    </row>
    <row r="50" spans="15:22" ht="15.75" thickBot="1" x14ac:dyDescent="0.3">
      <c r="O50" s="98" t="s">
        <v>99</v>
      </c>
      <c r="P50" s="99"/>
      <c r="Q50" s="99"/>
      <c r="R50" s="99"/>
      <c r="S50" s="99"/>
      <c r="T50" s="99"/>
      <c r="U50" s="99"/>
      <c r="V50" s="100"/>
    </row>
  </sheetData>
  <sheetProtection algorithmName="SHA-512" hashValue="umZdihiObwfGBxbTwWqPZpe41Cg6xNcFIT062TFdKhhen1NE7V9E3IVDaGUeWiR36jYfuv21I+UO8TJBH7rd1g==" saltValue="QxPMVJelYwdD8gpHUu5SBQ==" spinCount="100000" sheet="1" selectLockedCells="1"/>
  <mergeCells count="7">
    <mergeCell ref="O2:P2"/>
    <mergeCell ref="B14:B15"/>
    <mergeCell ref="C14:C15"/>
    <mergeCell ref="F15:H15"/>
    <mergeCell ref="C2:G2"/>
    <mergeCell ref="C3:G3"/>
    <mergeCell ref="B4:I4"/>
  </mergeCells>
  <phoneticPr fontId="31" type="noConversion"/>
  <dataValidations count="1">
    <dataValidation type="list" allowBlank="1" showInputMessage="1" showErrorMessage="1" sqref="C12" xr:uid="{E558DB24-E7E0-4743-94BC-E8E0838DDE5A}">
      <formula1>$L$15:$L$21</formula1>
    </dataValidation>
  </dataValidations>
  <hyperlinks>
    <hyperlink ref="F15" r:id="rId1" xr:uid="{06AE9163-082D-4B95-A69C-6329839FA33D}"/>
    <hyperlink ref="I8" r:id="rId2" xr:uid="{0B289242-EAE8-44D8-A5CD-94BF14AA732B}"/>
    <hyperlink ref="F15:H15" r:id="rId3" display="Utah County Parcel Map)" xr:uid="{4220B88E-A519-4847-A9A2-75019EE95DCE}"/>
  </hyperlinks>
  <pageMargins left="0.7" right="0.7" top="0.75" bottom="0.75" header="0.3" footer="0.3"/>
  <pageSetup scale="97" orientation="portrait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Residential</vt:lpstr>
      <vt:lpstr>Residential!Print_Area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Shane Sorensen</cp:lastModifiedBy>
  <cp:lastPrinted>2023-03-20T14:33:25Z</cp:lastPrinted>
  <dcterms:created xsi:type="dcterms:W3CDTF">2022-06-28T20:25:03Z</dcterms:created>
  <dcterms:modified xsi:type="dcterms:W3CDTF">2025-02-11T16:24:27Z</dcterms:modified>
</cp:coreProperties>
</file>